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lih.sharepoint.com/sites/Accounting-SPS/Finance/Finance Council/"/>
    </mc:Choice>
  </mc:AlternateContent>
  <xr:revisionPtr revIDLastSave="8" documentId="8_{4A4F842E-CD6A-45F5-9CF5-DDD67BF3745E}" xr6:coauthVersionLast="47" xr6:coauthVersionMax="47" xr10:uidLastSave="{BAE5235C-9006-4CEF-98E4-F71275A145B1}"/>
  <bookViews>
    <workbookView xWindow="-120" yWindow="-120" windowWidth="29040" windowHeight="15720" xr2:uid="{FE4AA549-84C7-4F5B-85AE-99774633A1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J63" i="1"/>
  <c r="J37" i="1"/>
  <c r="J36" i="1"/>
  <c r="J34" i="1"/>
  <c r="J26" i="1" l="1"/>
  <c r="J29" i="1" s="1"/>
  <c r="J11" i="1"/>
  <c r="J14" i="1" s="1"/>
  <c r="O28" i="1"/>
  <c r="I37" i="1"/>
  <c r="I36" i="1"/>
  <c r="I52" i="1"/>
  <c r="I45" i="1"/>
  <c r="J45" i="1"/>
  <c r="K45" i="1"/>
  <c r="L45" i="1"/>
  <c r="I29" i="1"/>
  <c r="I26" i="1"/>
  <c r="I11" i="1"/>
  <c r="I14" i="1" s="1"/>
  <c r="J30" i="1" l="1"/>
  <c r="I30" i="1"/>
  <c r="H52" i="1"/>
  <c r="H34" i="1"/>
  <c r="H37" i="1" s="1"/>
  <c r="H26" i="1" l="1"/>
  <c r="H29" i="1" s="1"/>
  <c r="H11" i="1"/>
  <c r="H14" i="1" s="1"/>
  <c r="G36" i="1"/>
  <c r="G37" i="1" s="1"/>
  <c r="G26" i="1"/>
  <c r="G29" i="1" s="1"/>
  <c r="G11" i="1"/>
  <c r="G14" i="1" s="1"/>
  <c r="H30" i="1" l="1"/>
  <c r="G30" i="1"/>
  <c r="O25" i="1" l="1"/>
  <c r="O24" i="1"/>
  <c r="O23" i="1"/>
  <c r="O22" i="1"/>
  <c r="O21" i="1"/>
  <c r="O20" i="1"/>
  <c r="O19" i="1"/>
  <c r="O18" i="1"/>
  <c r="O17" i="1"/>
  <c r="O10" i="1"/>
  <c r="O9" i="1"/>
  <c r="O8" i="1"/>
  <c r="O7" i="1"/>
  <c r="O6" i="1"/>
  <c r="O5" i="1"/>
  <c r="O4" i="1"/>
  <c r="O3" i="1"/>
  <c r="F36" i="1"/>
  <c r="F37" i="1" s="1"/>
  <c r="E37" i="1"/>
  <c r="E42" i="1"/>
  <c r="E45" i="1" s="1"/>
  <c r="E57" i="1" s="1"/>
  <c r="E65" i="1" s="1"/>
  <c r="E43" i="1"/>
  <c r="E44" i="1"/>
  <c r="E63" i="1"/>
  <c r="F26" i="1"/>
  <c r="F29" i="1" s="1"/>
  <c r="F11" i="1"/>
  <c r="F14" i="1" s="1"/>
  <c r="F30" i="1" l="1"/>
  <c r="Q28" i="1"/>
  <c r="Q18" i="1"/>
  <c r="Q19" i="1"/>
  <c r="Q20" i="1"/>
  <c r="Q21" i="1"/>
  <c r="Q22" i="1"/>
  <c r="Q23" i="1"/>
  <c r="Q24" i="1"/>
  <c r="Q25" i="1"/>
  <c r="Q17" i="1"/>
  <c r="Q10" i="1" l="1"/>
  <c r="Q9" i="1"/>
  <c r="Q8" i="1"/>
  <c r="Q7" i="1"/>
  <c r="Q5" i="1"/>
  <c r="Q4" i="1"/>
  <c r="Q3" i="1"/>
  <c r="P26" i="1"/>
  <c r="P29" i="1" s="1"/>
  <c r="P11" i="1"/>
  <c r="P14" i="1" s="1"/>
  <c r="N63" i="1"/>
  <c r="M63" i="1"/>
  <c r="L63" i="1"/>
  <c r="K63" i="1"/>
  <c r="I63" i="1"/>
  <c r="I65" i="1" s="1"/>
  <c r="H63" i="1"/>
  <c r="G63" i="1"/>
  <c r="F63" i="1"/>
  <c r="N57" i="1"/>
  <c r="M57" i="1"/>
  <c r="L57" i="1"/>
  <c r="K57" i="1"/>
  <c r="J57" i="1"/>
  <c r="J65" i="1" s="1"/>
  <c r="N45" i="1"/>
  <c r="M45" i="1"/>
  <c r="I57" i="1"/>
  <c r="H45" i="1"/>
  <c r="H57" i="1" s="1"/>
  <c r="H65" i="1" s="1"/>
  <c r="G45" i="1"/>
  <c r="G57" i="1" s="1"/>
  <c r="F45" i="1"/>
  <c r="F57" i="1" s="1"/>
  <c r="D63" i="1"/>
  <c r="C63" i="1"/>
  <c r="B63" i="1"/>
  <c r="D55" i="1"/>
  <c r="B45" i="1"/>
  <c r="B57" i="1" s="1"/>
  <c r="D44" i="1"/>
  <c r="C44" i="1"/>
  <c r="D43" i="1"/>
  <c r="C43" i="1"/>
  <c r="D42" i="1"/>
  <c r="C42" i="1"/>
  <c r="G65" i="1" l="1"/>
  <c r="F65" i="1"/>
  <c r="P30" i="1"/>
  <c r="C45" i="1"/>
  <c r="C57" i="1" s="1"/>
  <c r="C65" i="1" s="1"/>
  <c r="D45" i="1"/>
  <c r="D57" i="1" s="1"/>
  <c r="D65" i="1" s="1"/>
  <c r="D37" i="1" l="1"/>
  <c r="O26" i="1"/>
  <c r="E26" i="1"/>
  <c r="E29" i="1" s="1"/>
  <c r="D26" i="1"/>
  <c r="D29" i="1" s="1"/>
  <c r="D13" i="1"/>
  <c r="O13" i="1" s="1"/>
  <c r="Q13" i="1" s="1"/>
  <c r="E14" i="1"/>
  <c r="O11" i="1"/>
  <c r="D11" i="1"/>
  <c r="C37" i="1"/>
  <c r="C11" i="1"/>
  <c r="C14" i="1" s="1"/>
  <c r="C26" i="1"/>
  <c r="C29" i="1" s="1"/>
  <c r="O29" i="1" l="1"/>
  <c r="Q29" i="1" s="1"/>
  <c r="Q26" i="1"/>
  <c r="O14" i="1"/>
  <c r="Q14" i="1" s="1"/>
  <c r="Q11" i="1"/>
  <c r="C30" i="1"/>
  <c r="D14" i="1"/>
  <c r="D30" i="1" s="1"/>
  <c r="E30" i="1"/>
  <c r="O30" i="1" l="1"/>
  <c r="B37" i="1"/>
  <c r="B26" i="1"/>
  <c r="B29" i="1" s="1"/>
  <c r="B10" i="1"/>
  <c r="B8" i="1"/>
  <c r="B7" i="1"/>
  <c r="B4" i="1"/>
  <c r="B11" i="1" s="1"/>
  <c r="B14" i="1" s="1"/>
  <c r="B30" i="1" s="1"/>
</calcChain>
</file>

<file path=xl/sharedStrings.xml><?xml version="1.0" encoding="utf-8"?>
<sst xmlns="http://schemas.openxmlformats.org/spreadsheetml/2006/main" count="64" uniqueCount="56">
  <si>
    <t>Collections</t>
  </si>
  <si>
    <t xml:space="preserve">   Tithing</t>
  </si>
  <si>
    <t xml:space="preserve">   Administration</t>
  </si>
  <si>
    <t>Bequests</t>
  </si>
  <si>
    <t>Ignite Capital Campaign</t>
  </si>
  <si>
    <t>Adult Faith Formation</t>
  </si>
  <si>
    <t>Youth Faith Formation</t>
  </si>
  <si>
    <t>Preschool</t>
  </si>
  <si>
    <t>Other Operating Income</t>
  </si>
  <si>
    <t>Total Income</t>
  </si>
  <si>
    <t>Restricted Ignite Capital Campaign</t>
  </si>
  <si>
    <t>Net Operating Income</t>
  </si>
  <si>
    <t xml:space="preserve">Parish Administration </t>
  </si>
  <si>
    <t>Worship</t>
  </si>
  <si>
    <t>Rectory</t>
  </si>
  <si>
    <t>Catholic School Assessments</t>
  </si>
  <si>
    <t>Building &amp; Grounds</t>
  </si>
  <si>
    <t>Other Operating Expenses</t>
  </si>
  <si>
    <t>Expense Totals</t>
  </si>
  <si>
    <t>Depreciation Expense</t>
  </si>
  <si>
    <t>Net Operating Expenses</t>
  </si>
  <si>
    <t>Operating Income - Expense</t>
  </si>
  <si>
    <t>CASH &amp; INVESTMENTS</t>
  </si>
  <si>
    <t>Operating Cash</t>
  </si>
  <si>
    <t>Building Fund **</t>
  </si>
  <si>
    <t>Restricted Funds</t>
  </si>
  <si>
    <t>OLIH Foundation</t>
  </si>
  <si>
    <t>Total Cash &amp; Investments</t>
  </si>
  <si>
    <t>Statement of Cash Flow</t>
  </si>
  <si>
    <t>Ending Cash</t>
  </si>
  <si>
    <t>Prior Period Ending Cash:</t>
  </si>
  <si>
    <t>CSB &amp; Unrestricted</t>
  </si>
  <si>
    <t>FNB Building Fund</t>
  </si>
  <si>
    <t>CSB Building Fund</t>
  </si>
  <si>
    <t>Total Cash - Unrestricted</t>
  </si>
  <si>
    <t>Cash  Flows from Operating &amp; Investing Actvities</t>
  </si>
  <si>
    <t>Net Income</t>
  </si>
  <si>
    <t>Donor Restricted</t>
  </si>
  <si>
    <t>Current Assets</t>
  </si>
  <si>
    <t>Fixed Assets</t>
  </si>
  <si>
    <t>Current Liabilities</t>
  </si>
  <si>
    <t>Funds Held for Others</t>
  </si>
  <si>
    <t>Dedicated Accounts</t>
  </si>
  <si>
    <t>Foundation</t>
  </si>
  <si>
    <t>Ignite Funds Deposit to Bldg Fund</t>
  </si>
  <si>
    <t>Bank Account balances:</t>
  </si>
  <si>
    <t>CSB Checking &amp; Unrestricted</t>
  </si>
  <si>
    <t>Total Cash Tied to Cash Flow</t>
  </si>
  <si>
    <t xml:space="preserve">Difference </t>
  </si>
  <si>
    <t>Annual Budget</t>
  </si>
  <si>
    <t>YTD % of budget</t>
  </si>
  <si>
    <t>2025-2026 Income</t>
  </si>
  <si>
    <t>2025-2026 Expenses</t>
  </si>
  <si>
    <t>2024-25 Actual</t>
  </si>
  <si>
    <t>24-25 Actual</t>
  </si>
  <si>
    <t>2025-26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</si>
</sst>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38" fontId="5" fillId="0" borderId="0" xfId="0" applyNumberFormat="1" applyFont="1"/>
    <xf numFmtId="38" fontId="0" fillId="0" borderId="0" xfId="0" applyNumberFormat="1"/>
    <xf numFmtId="38" fontId="5" fillId="0" borderId="0" xfId="0" applyNumberFormat="1" applyFont="1" applyAlignment="1">
      <alignment horizontal="left"/>
    </xf>
    <xf numFmtId="38" fontId="6" fillId="0" borderId="0" xfId="0" applyNumberFormat="1" applyFont="1"/>
    <xf numFmtId="38" fontId="6" fillId="0" borderId="1" xfId="0" applyNumberFormat="1" applyFont="1" applyBorder="1"/>
    <xf numFmtId="38" fontId="3" fillId="0" borderId="0" xfId="0" applyNumberFormat="1" applyFont="1"/>
    <xf numFmtId="38" fontId="6" fillId="0" borderId="0" xfId="0" applyNumberFormat="1" applyFont="1" applyAlignment="1">
      <alignment horizontal="left"/>
    </xf>
    <xf numFmtId="38" fontId="6" fillId="0" borderId="2" xfId="0" applyNumberFormat="1" applyFont="1" applyBorder="1"/>
    <xf numFmtId="0" fontId="5" fillId="0" borderId="0" xfId="0" applyFont="1"/>
    <xf numFmtId="164" fontId="5" fillId="0" borderId="0" xfId="1" applyNumberFormat="1" applyFont="1"/>
    <xf numFmtId="14" fontId="4" fillId="2" borderId="0" xfId="0" applyNumberFormat="1" applyFont="1" applyFill="1" applyAlignment="1">
      <alignment horizontal="center" wrapText="1"/>
    </xf>
    <xf numFmtId="164" fontId="0" fillId="0" borderId="2" xfId="1" applyNumberFormat="1" applyFont="1" applyBorder="1"/>
    <xf numFmtId="164" fontId="2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38" fontId="8" fillId="0" borderId="0" xfId="0" quotePrefix="1" applyNumberFormat="1" applyFont="1"/>
    <xf numFmtId="14" fontId="9" fillId="0" borderId="0" xfId="0" applyNumberFormat="1" applyFont="1" applyAlignment="1">
      <alignment horizontal="center"/>
    </xf>
    <xf numFmtId="38" fontId="7" fillId="2" borderId="0" xfId="0" quotePrefix="1" applyNumberFormat="1" applyFont="1" applyFill="1" applyAlignment="1">
      <alignment horizontal="center"/>
    </xf>
    <xf numFmtId="38" fontId="10" fillId="2" borderId="0" xfId="0" quotePrefix="1" applyNumberFormat="1" applyFont="1" applyFill="1"/>
    <xf numFmtId="38" fontId="11" fillId="2" borderId="0" xfId="0" quotePrefix="1" applyNumberFormat="1" applyFont="1" applyFill="1"/>
    <xf numFmtId="14" fontId="4" fillId="0" borderId="0" xfId="0" applyNumberFormat="1" applyFont="1" applyAlignment="1">
      <alignment horizontal="center"/>
    </xf>
    <xf numFmtId="164" fontId="0" fillId="0" borderId="0" xfId="1" applyNumberFormat="1" applyFont="1" applyFill="1"/>
    <xf numFmtId="164" fontId="2" fillId="0" borderId="0" xfId="1" applyNumberFormat="1" applyFont="1" applyFill="1"/>
    <xf numFmtId="10" fontId="6" fillId="0" borderId="0" xfId="2" applyNumberFormat="1" applyFont="1"/>
    <xf numFmtId="10" fontId="6" fillId="0" borderId="1" xfId="2" applyNumberFormat="1" applyFont="1" applyBorder="1"/>
    <xf numFmtId="10" fontId="5" fillId="0" borderId="0" xfId="2" applyNumberFormat="1" applyFont="1"/>
    <xf numFmtId="10" fontId="6" fillId="0" borderId="2" xfId="2" applyNumberFormat="1" applyFont="1" applyBorder="1"/>
    <xf numFmtId="164" fontId="5" fillId="0" borderId="2" xfId="1" applyNumberFormat="1" applyFont="1" applyBorder="1"/>
    <xf numFmtId="164" fontId="5" fillId="0" borderId="1" xfId="1" applyNumberFormat="1" applyFont="1" applyBorder="1"/>
    <xf numFmtId="164" fontId="9" fillId="0" borderId="0" xfId="1" applyNumberFormat="1" applyFont="1"/>
    <xf numFmtId="14" fontId="4" fillId="2" borderId="0" xfId="0" applyNumberFormat="1" applyFont="1" applyFill="1" applyAlignment="1">
      <alignment horizontal="center" vertical="center" wrapText="1"/>
    </xf>
    <xf numFmtId="38" fontId="4" fillId="2" borderId="0" xfId="0" applyNumberFormat="1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4" fontId="5" fillId="0" borderId="0" xfId="1" applyNumberFormat="1" applyFont="1" applyFill="1"/>
    <xf numFmtId="14" fontId="12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66CE-E142-41CD-904E-ACCAC8859364}">
  <sheetPr>
    <pageSetUpPr fitToPage="1"/>
  </sheetPr>
  <dimension ref="A1:Q65"/>
  <sheetViews>
    <sheetView tabSelected="1" topLeftCell="A23" workbookViewId="0">
      <selection activeCell="P18" sqref="P18"/>
    </sheetView>
  </sheetViews>
  <sheetFormatPr defaultRowHeight="15" x14ac:dyDescent="0.25"/>
  <cols>
    <col min="1" max="1" width="38.42578125" bestFit="1" customWidth="1"/>
    <col min="2" max="2" width="11.42578125" hidden="1" customWidth="1"/>
    <col min="3" max="5" width="8.42578125" hidden="1" customWidth="1"/>
    <col min="6" max="8" width="9" hidden="1" customWidth="1"/>
    <col min="9" max="9" width="10.42578125" hidden="1" customWidth="1"/>
    <col min="10" max="10" width="9" customWidth="1"/>
    <col min="11" max="14" width="8.140625" hidden="1" customWidth="1"/>
    <col min="15" max="16" width="9" bestFit="1" customWidth="1"/>
    <col min="17" max="17" width="8.7109375" bestFit="1" customWidth="1"/>
    <col min="22" max="22" width="30.85546875" bestFit="1" customWidth="1"/>
  </cols>
  <sheetData>
    <row r="1" spans="1:17" ht="24" x14ac:dyDescent="0.4">
      <c r="A1" s="20" t="s">
        <v>51</v>
      </c>
      <c r="B1" s="32" t="s">
        <v>53</v>
      </c>
      <c r="C1" s="11">
        <v>45869</v>
      </c>
      <c r="D1" s="11">
        <v>45900</v>
      </c>
      <c r="E1" s="11">
        <v>45930</v>
      </c>
      <c r="F1" s="11">
        <v>45961</v>
      </c>
      <c r="G1" s="11">
        <v>45991</v>
      </c>
      <c r="H1" s="11">
        <v>46022</v>
      </c>
      <c r="I1" s="11">
        <v>46053</v>
      </c>
      <c r="J1" s="11">
        <v>46081</v>
      </c>
      <c r="K1" s="11">
        <v>46112</v>
      </c>
      <c r="L1" s="11">
        <v>46142</v>
      </c>
      <c r="M1" s="11">
        <v>46173</v>
      </c>
      <c r="N1" s="11">
        <v>46203</v>
      </c>
      <c r="O1" s="36" t="s">
        <v>55</v>
      </c>
      <c r="P1" s="31" t="s">
        <v>49</v>
      </c>
      <c r="Q1" s="31" t="s">
        <v>50</v>
      </c>
    </row>
    <row r="2" spans="1:17" x14ac:dyDescent="0.25">
      <c r="A2" s="1" t="s">
        <v>0</v>
      </c>
      <c r="B2" s="1"/>
    </row>
    <row r="3" spans="1:17" x14ac:dyDescent="0.25">
      <c r="A3" s="3" t="s">
        <v>1</v>
      </c>
      <c r="B3" s="1">
        <v>1734727</v>
      </c>
      <c r="C3" s="1">
        <v>139149</v>
      </c>
      <c r="D3" s="1">
        <v>118605</v>
      </c>
      <c r="E3" s="1">
        <v>131301</v>
      </c>
      <c r="F3" s="1">
        <v>123617</v>
      </c>
      <c r="G3" s="1">
        <v>123985.96</v>
      </c>
      <c r="H3" s="1">
        <v>261807.18999999997</v>
      </c>
      <c r="I3" s="1">
        <v>186114.34</v>
      </c>
      <c r="J3" s="1">
        <v>146596.17000000001</v>
      </c>
      <c r="K3" s="1"/>
      <c r="L3" s="1"/>
      <c r="M3" s="1"/>
      <c r="N3" s="1"/>
      <c r="O3" s="1">
        <f>SUM(C3:N3)</f>
        <v>1231175.6599999999</v>
      </c>
      <c r="P3" s="1">
        <v>1793000</v>
      </c>
      <c r="Q3" s="24">
        <f>O3/P3</f>
        <v>0.6866568098159509</v>
      </c>
    </row>
    <row r="4" spans="1:17" x14ac:dyDescent="0.25">
      <c r="A4" s="3" t="s">
        <v>2</v>
      </c>
      <c r="B4" s="1">
        <f>16621+3039+15412+4783+1400+1300+21987+7447</f>
        <v>71989</v>
      </c>
      <c r="C4" s="1">
        <v>1735</v>
      </c>
      <c r="D4" s="1">
        <v>5746</v>
      </c>
      <c r="E4" s="1">
        <v>4309</v>
      </c>
      <c r="F4" s="1">
        <v>3966</v>
      </c>
      <c r="G4" s="1">
        <v>3868.44</v>
      </c>
      <c r="H4" s="1">
        <v>15837.1</v>
      </c>
      <c r="I4" s="1">
        <v>16766.310000000001</v>
      </c>
      <c r="J4" s="1">
        <v>21135.23</v>
      </c>
      <c r="K4" s="1"/>
      <c r="L4" s="1"/>
      <c r="M4" s="1"/>
      <c r="N4" s="1"/>
      <c r="O4" s="1">
        <f t="shared" ref="O4:O10" si="0">SUM(C4:N4)</f>
        <v>73363.08</v>
      </c>
      <c r="P4" s="1">
        <v>120300</v>
      </c>
      <c r="Q4" s="24">
        <f t="shared" ref="Q4:Q13" si="1">O4/P4</f>
        <v>0.60983441396508731</v>
      </c>
    </row>
    <row r="5" spans="1:17" x14ac:dyDescent="0.25">
      <c r="A5" s="1" t="s">
        <v>3</v>
      </c>
      <c r="B5" s="1">
        <v>28285</v>
      </c>
      <c r="C5" s="1">
        <v>0</v>
      </c>
      <c r="D5" s="1">
        <v>100</v>
      </c>
      <c r="E5" s="1">
        <v>550</v>
      </c>
      <c r="F5" s="1">
        <v>1880</v>
      </c>
      <c r="G5" s="1">
        <v>-100</v>
      </c>
      <c r="H5" s="1">
        <v>20</v>
      </c>
      <c r="I5" s="1">
        <v>0</v>
      </c>
      <c r="J5" s="1">
        <v>0</v>
      </c>
      <c r="K5" s="1"/>
      <c r="L5" s="1"/>
      <c r="M5" s="1"/>
      <c r="N5" s="1"/>
      <c r="O5" s="1">
        <f t="shared" si="0"/>
        <v>2450</v>
      </c>
      <c r="P5" s="1">
        <v>10000</v>
      </c>
      <c r="Q5" s="24">
        <f t="shared" si="1"/>
        <v>0.245</v>
      </c>
    </row>
    <row r="6" spans="1:17" x14ac:dyDescent="0.25">
      <c r="A6" s="1" t="s">
        <v>4</v>
      </c>
      <c r="B6" s="1">
        <v>100905</v>
      </c>
      <c r="C6" s="1"/>
      <c r="D6" s="1">
        <v>19842</v>
      </c>
      <c r="E6" s="1">
        <v>0</v>
      </c>
      <c r="F6" s="1">
        <v>0</v>
      </c>
      <c r="G6" s="1">
        <v>7970.93</v>
      </c>
      <c r="H6" s="1">
        <v>0</v>
      </c>
      <c r="I6" s="1">
        <v>0</v>
      </c>
      <c r="J6" s="1">
        <v>0</v>
      </c>
      <c r="K6" s="1"/>
      <c r="L6" s="1"/>
      <c r="M6" s="1"/>
      <c r="N6" s="1"/>
      <c r="O6" s="1">
        <f t="shared" si="0"/>
        <v>27812.93</v>
      </c>
      <c r="P6" s="1">
        <v>0</v>
      </c>
      <c r="Q6" s="24" t="str">
        <f>IFERROR(O6/P6," ")</f>
        <v xml:space="preserve"> </v>
      </c>
    </row>
    <row r="7" spans="1:17" x14ac:dyDescent="0.25">
      <c r="A7" s="1" t="s">
        <v>5</v>
      </c>
      <c r="B7" s="1">
        <f>14325+10927+50</f>
        <v>25302</v>
      </c>
      <c r="C7" s="1">
        <v>311</v>
      </c>
      <c r="D7" s="1">
        <v>1387</v>
      </c>
      <c r="E7" s="1">
        <v>1381</v>
      </c>
      <c r="F7" s="1">
        <v>1050</v>
      </c>
      <c r="G7" s="1">
        <v>570.5</v>
      </c>
      <c r="H7" s="1">
        <v>1203.3600000000001</v>
      </c>
      <c r="I7" s="1">
        <v>5895.06</v>
      </c>
      <c r="J7" s="1">
        <v>3714.95</v>
      </c>
      <c r="K7" s="1"/>
      <c r="L7" s="1"/>
      <c r="M7" s="1"/>
      <c r="N7" s="1"/>
      <c r="O7" s="1">
        <f t="shared" si="0"/>
        <v>15512.870000000003</v>
      </c>
      <c r="P7" s="1">
        <v>22500</v>
      </c>
      <c r="Q7" s="24">
        <f t="shared" si="1"/>
        <v>0.68946088888888901</v>
      </c>
    </row>
    <row r="8" spans="1:17" x14ac:dyDescent="0.25">
      <c r="A8" s="1" t="s">
        <v>6</v>
      </c>
      <c r="B8" s="1">
        <f>75185+9178+8530</f>
        <v>92893</v>
      </c>
      <c r="C8" s="1">
        <v>2532</v>
      </c>
      <c r="D8" s="1">
        <v>48140</v>
      </c>
      <c r="E8" s="1">
        <v>12330</v>
      </c>
      <c r="F8" s="1">
        <v>8692</v>
      </c>
      <c r="G8" s="1">
        <v>3238.12</v>
      </c>
      <c r="H8" s="1">
        <v>444.14</v>
      </c>
      <c r="I8" s="1">
        <v>1330.35</v>
      </c>
      <c r="J8" s="1">
        <v>943.57</v>
      </c>
      <c r="K8" s="1"/>
      <c r="L8" s="1"/>
      <c r="M8" s="1"/>
      <c r="N8" s="1"/>
      <c r="O8" s="1">
        <f t="shared" si="0"/>
        <v>77650.180000000008</v>
      </c>
      <c r="P8" s="1">
        <v>80200</v>
      </c>
      <c r="Q8" s="24">
        <f t="shared" si="1"/>
        <v>0.96820673316708239</v>
      </c>
    </row>
    <row r="9" spans="1:17" x14ac:dyDescent="0.25">
      <c r="A9" s="1" t="s">
        <v>7</v>
      </c>
      <c r="B9" s="1">
        <v>128965</v>
      </c>
      <c r="C9" s="1">
        <v>24150</v>
      </c>
      <c r="D9" s="1">
        <v>2085</v>
      </c>
      <c r="E9" s="1">
        <v>15530</v>
      </c>
      <c r="F9" s="1">
        <v>17763</v>
      </c>
      <c r="G9" s="1">
        <v>13870.51</v>
      </c>
      <c r="H9" s="1">
        <v>13677.35</v>
      </c>
      <c r="I9" s="1">
        <v>20385</v>
      </c>
      <c r="J9" s="1">
        <v>22769.16</v>
      </c>
      <c r="K9" s="1"/>
      <c r="L9" s="1"/>
      <c r="M9" s="1"/>
      <c r="N9" s="1"/>
      <c r="O9" s="1">
        <f t="shared" si="0"/>
        <v>130230.02</v>
      </c>
      <c r="P9" s="1">
        <v>144300</v>
      </c>
      <c r="Q9" s="24">
        <f t="shared" si="1"/>
        <v>0.90249494109494111</v>
      </c>
    </row>
    <row r="10" spans="1:17" x14ac:dyDescent="0.25">
      <c r="A10" s="1" t="s">
        <v>8</v>
      </c>
      <c r="B10" s="1">
        <f>16395+18048+13432+360+5974+275+4390+1438+3398+385+50-2</f>
        <v>64143</v>
      </c>
      <c r="C10" s="1">
        <v>637</v>
      </c>
      <c r="D10" s="1">
        <v>579</v>
      </c>
      <c r="E10" s="1">
        <v>5318</v>
      </c>
      <c r="F10" s="1">
        <v>1086</v>
      </c>
      <c r="G10" s="1">
        <v>1074.6600000000001</v>
      </c>
      <c r="H10" s="1">
        <v>13261</v>
      </c>
      <c r="I10" s="1">
        <v>7905.62</v>
      </c>
      <c r="J10" s="1">
        <v>2886.9</v>
      </c>
      <c r="K10" s="1"/>
      <c r="L10" s="1"/>
      <c r="M10" s="1"/>
      <c r="N10" s="1"/>
      <c r="O10" s="1">
        <f t="shared" si="0"/>
        <v>32748.18</v>
      </c>
      <c r="P10" s="1">
        <v>34200</v>
      </c>
      <c r="Q10" s="24">
        <f t="shared" si="1"/>
        <v>0.95754912280701754</v>
      </c>
    </row>
    <row r="11" spans="1:17" ht="15.75" thickBot="1" x14ac:dyDescent="0.3">
      <c r="A11" s="4" t="s">
        <v>9</v>
      </c>
      <c r="B11" s="5">
        <f>SUM(B3:B10)</f>
        <v>2247209</v>
      </c>
      <c r="C11" s="5">
        <f>SUM(C3:C10)</f>
        <v>168514</v>
      </c>
      <c r="D11" s="5">
        <f t="shared" ref="D11:O11" si="2">SUM(D3:D10)</f>
        <v>196484</v>
      </c>
      <c r="E11" s="5">
        <v>170719</v>
      </c>
      <c r="F11" s="5">
        <f>SUM(F3:F10)</f>
        <v>158054</v>
      </c>
      <c r="G11" s="5">
        <f>SUM(G3:G10)</f>
        <v>154479.12000000002</v>
      </c>
      <c r="H11" s="5">
        <f>SUM(H3:H10)</f>
        <v>306250.13999999996</v>
      </c>
      <c r="I11" s="5">
        <f>SUM(I3:I10)</f>
        <v>238396.68</v>
      </c>
      <c r="J11" s="5">
        <f>SUM(J3:J10)</f>
        <v>198045.98000000004</v>
      </c>
      <c r="K11" s="5"/>
      <c r="L11" s="5"/>
      <c r="M11" s="5"/>
      <c r="N11" s="5"/>
      <c r="O11" s="5">
        <f t="shared" si="2"/>
        <v>1590942.92</v>
      </c>
      <c r="P11" s="5">
        <f t="shared" ref="P11" si="3">SUM(P3:P10)</f>
        <v>2204500</v>
      </c>
      <c r="Q11" s="25">
        <f>O11/P11</f>
        <v>0.72167970968473572</v>
      </c>
    </row>
    <row r="12" spans="1:17" ht="15.75" thickTop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1" t="s">
        <v>10</v>
      </c>
      <c r="B13" s="4">
        <v>-100905</v>
      </c>
      <c r="C13" s="4">
        <v>0</v>
      </c>
      <c r="D13" s="4">
        <f>-19842</f>
        <v>-19842</v>
      </c>
      <c r="E13" s="4">
        <v>0</v>
      </c>
      <c r="F13" s="4">
        <v>0</v>
      </c>
      <c r="G13" s="4">
        <v>-7970.93</v>
      </c>
      <c r="H13" s="4">
        <v>0</v>
      </c>
      <c r="I13" s="4">
        <v>0</v>
      </c>
      <c r="J13" s="4">
        <v>0</v>
      </c>
      <c r="K13" s="4"/>
      <c r="L13" s="4"/>
      <c r="M13" s="4"/>
      <c r="N13" s="4"/>
      <c r="O13" s="1">
        <f t="shared" ref="O13" si="4">SUM(C13:N13)</f>
        <v>-27812.93</v>
      </c>
      <c r="P13" s="4">
        <v>0</v>
      </c>
      <c r="Q13" s="24" t="e">
        <f t="shared" si="1"/>
        <v>#DIV/0!</v>
      </c>
    </row>
    <row r="14" spans="1:17" ht="15.75" thickBot="1" x14ac:dyDescent="0.3">
      <c r="A14" s="4" t="s">
        <v>11</v>
      </c>
      <c r="B14" s="5">
        <f>B11+B13</f>
        <v>2146304</v>
      </c>
      <c r="C14" s="5">
        <f>C11+C13</f>
        <v>168514</v>
      </c>
      <c r="D14" s="5">
        <f t="shared" ref="D14:O14" si="5">D11+D13</f>
        <v>176642</v>
      </c>
      <c r="E14" s="5">
        <f t="shared" si="5"/>
        <v>170719</v>
      </c>
      <c r="F14" s="5">
        <f t="shared" si="5"/>
        <v>158054</v>
      </c>
      <c r="G14" s="5">
        <f t="shared" si="5"/>
        <v>146508.19000000003</v>
      </c>
      <c r="H14" s="5">
        <f t="shared" si="5"/>
        <v>306250.13999999996</v>
      </c>
      <c r="I14" s="5">
        <f t="shared" si="5"/>
        <v>238396.68</v>
      </c>
      <c r="J14" s="5">
        <f t="shared" ref="J14" si="6">J11+J13</f>
        <v>198045.98000000004</v>
      </c>
      <c r="K14" s="5"/>
      <c r="L14" s="5"/>
      <c r="M14" s="5"/>
      <c r="N14" s="5"/>
      <c r="O14" s="5">
        <f t="shared" si="5"/>
        <v>1563129.99</v>
      </c>
      <c r="P14" s="5">
        <f t="shared" ref="P14" si="7">P11+P13</f>
        <v>2204500</v>
      </c>
      <c r="Q14" s="25">
        <f>O14/P14</f>
        <v>0.70906327511907463</v>
      </c>
    </row>
    <row r="15" spans="1:17" ht="15.75" thickTop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" x14ac:dyDescent="0.4">
      <c r="A16" s="19" t="s">
        <v>52</v>
      </c>
      <c r="B16" s="32" t="s">
        <v>54</v>
      </c>
      <c r="C16" s="31">
        <v>45869</v>
      </c>
      <c r="D16" s="31">
        <v>45900</v>
      </c>
      <c r="E16" s="31">
        <v>45930</v>
      </c>
      <c r="F16" s="11">
        <v>45961</v>
      </c>
      <c r="G16" s="11">
        <v>45991</v>
      </c>
      <c r="H16" s="31">
        <v>46022</v>
      </c>
      <c r="I16" s="11">
        <v>46053</v>
      </c>
      <c r="J16" s="11">
        <v>46081</v>
      </c>
      <c r="K16" s="11">
        <v>46112</v>
      </c>
      <c r="L16" s="11">
        <v>46142</v>
      </c>
      <c r="M16" s="11">
        <v>46173</v>
      </c>
      <c r="N16" s="11">
        <v>46203</v>
      </c>
      <c r="O16" s="37" t="s">
        <v>55</v>
      </c>
      <c r="P16" s="31" t="s">
        <v>49</v>
      </c>
      <c r="Q16" s="31" t="s">
        <v>50</v>
      </c>
    </row>
    <row r="17" spans="1:17" x14ac:dyDescent="0.25">
      <c r="A17" s="3" t="s">
        <v>12</v>
      </c>
      <c r="B17" s="1">
        <v>-854271</v>
      </c>
      <c r="C17" s="1">
        <v>-70728</v>
      </c>
      <c r="D17" s="1">
        <v>-67336</v>
      </c>
      <c r="E17" s="1">
        <v>-56130</v>
      </c>
      <c r="F17" s="1">
        <v>-92735</v>
      </c>
      <c r="G17" s="1">
        <v>-65954.16</v>
      </c>
      <c r="H17" s="1">
        <v>-74317.39</v>
      </c>
      <c r="I17" s="1">
        <v>-87121.63</v>
      </c>
      <c r="J17" s="1">
        <v>-70074.539999999994</v>
      </c>
      <c r="K17" s="1"/>
      <c r="L17" s="1"/>
      <c r="M17" s="1"/>
      <c r="N17" s="1"/>
      <c r="O17" s="1">
        <f>SUM(C17:N17)</f>
        <v>-584396.72000000009</v>
      </c>
      <c r="P17" s="1">
        <v>-916954</v>
      </c>
      <c r="Q17" s="26">
        <f>O17/P17</f>
        <v>0.63732392246503111</v>
      </c>
    </row>
    <row r="18" spans="1:17" x14ac:dyDescent="0.25">
      <c r="A18" s="3" t="s">
        <v>13</v>
      </c>
      <c r="B18" s="1">
        <v>-189004</v>
      </c>
      <c r="C18" s="1">
        <v>-16613</v>
      </c>
      <c r="D18" s="1">
        <v>-12222</v>
      </c>
      <c r="E18" s="1">
        <v>-13581</v>
      </c>
      <c r="F18" s="1">
        <v>-18697</v>
      </c>
      <c r="G18" s="1">
        <v>-11355.41</v>
      </c>
      <c r="H18" s="1">
        <v>-23038.980000000003</v>
      </c>
      <c r="I18" s="1">
        <v>-15500.66</v>
      </c>
      <c r="J18" s="1">
        <v>-12463.3</v>
      </c>
      <c r="K18" s="1"/>
      <c r="L18" s="1"/>
      <c r="M18" s="1"/>
      <c r="N18" s="1"/>
      <c r="O18" s="1">
        <f t="shared" ref="O18:O25" si="8">SUM(C18:N18)</f>
        <v>-123471.35000000002</v>
      </c>
      <c r="P18" s="1">
        <v>-164589</v>
      </c>
      <c r="Q18" s="26">
        <f t="shared" ref="Q18:Q25" si="9">O18/P18</f>
        <v>0.7501798419092407</v>
      </c>
    </row>
    <row r="19" spans="1:17" x14ac:dyDescent="0.25">
      <c r="A19" s="3" t="s">
        <v>14</v>
      </c>
      <c r="B19" s="1">
        <v>-22275</v>
      </c>
      <c r="C19" s="1">
        <v>-1168</v>
      </c>
      <c r="D19" s="1">
        <v>-1993</v>
      </c>
      <c r="E19" s="1">
        <v>-1969</v>
      </c>
      <c r="F19" s="1">
        <v>-1620</v>
      </c>
      <c r="G19" s="1">
        <v>-1046.67</v>
      </c>
      <c r="H19" s="1">
        <v>-1212.5</v>
      </c>
      <c r="I19" s="1">
        <v>-3089.4</v>
      </c>
      <c r="J19" s="1">
        <v>-883.5</v>
      </c>
      <c r="K19" s="1"/>
      <c r="L19" s="1"/>
      <c r="M19" s="1"/>
      <c r="N19" s="1"/>
      <c r="O19" s="1">
        <f t="shared" si="8"/>
        <v>-12982.07</v>
      </c>
      <c r="P19" s="1">
        <v>-13770</v>
      </c>
      <c r="Q19" s="26">
        <f t="shared" si="9"/>
        <v>0.94277923021060273</v>
      </c>
    </row>
    <row r="20" spans="1:17" x14ac:dyDescent="0.25">
      <c r="A20" s="3" t="s">
        <v>5</v>
      </c>
      <c r="B20" s="1">
        <v>-129220</v>
      </c>
      <c r="C20" s="1">
        <v>-10980</v>
      </c>
      <c r="D20" s="1">
        <v>-8489</v>
      </c>
      <c r="E20" s="1">
        <v>-7435</v>
      </c>
      <c r="F20" s="1">
        <v>-10971</v>
      </c>
      <c r="G20" s="1">
        <v>-8594.86</v>
      </c>
      <c r="H20" s="1">
        <v>-9500.17</v>
      </c>
      <c r="I20" s="1">
        <v>-10914.19</v>
      </c>
      <c r="J20" s="1">
        <v>-10663.56</v>
      </c>
      <c r="K20" s="1"/>
      <c r="L20" s="1"/>
      <c r="M20" s="1"/>
      <c r="N20" s="1"/>
      <c r="O20" s="1">
        <f t="shared" si="8"/>
        <v>-77547.78</v>
      </c>
      <c r="P20" s="1">
        <v>-129287</v>
      </c>
      <c r="Q20" s="26">
        <f t="shared" si="9"/>
        <v>0.59981111790048491</v>
      </c>
    </row>
    <row r="21" spans="1:17" x14ac:dyDescent="0.25">
      <c r="A21" s="3" t="s">
        <v>6</v>
      </c>
      <c r="B21" s="1">
        <v>-423427</v>
      </c>
      <c r="C21" s="1">
        <v>-41327</v>
      </c>
      <c r="D21" s="1">
        <v>-40955</v>
      </c>
      <c r="E21" s="1">
        <v>-35249</v>
      </c>
      <c r="F21" s="1">
        <v>-10217</v>
      </c>
      <c r="G21" s="1">
        <v>-29714.44</v>
      </c>
      <c r="H21" s="1">
        <v>-29627.41</v>
      </c>
      <c r="I21" s="1">
        <v>-41977.15</v>
      </c>
      <c r="J21" s="1">
        <v>-51511.61</v>
      </c>
      <c r="K21" s="1"/>
      <c r="L21" s="1"/>
      <c r="M21" s="1"/>
      <c r="N21" s="1"/>
      <c r="O21" s="1">
        <f t="shared" si="8"/>
        <v>-280578.61</v>
      </c>
      <c r="P21" s="1">
        <v>-406182</v>
      </c>
      <c r="Q21" s="26">
        <f t="shared" si="9"/>
        <v>0.69077066438197654</v>
      </c>
    </row>
    <row r="22" spans="1:17" x14ac:dyDescent="0.25">
      <c r="A22" s="3" t="s">
        <v>7</v>
      </c>
      <c r="B22" s="1">
        <v>-170603</v>
      </c>
      <c r="C22" s="1">
        <v>-12891</v>
      </c>
      <c r="D22" s="1">
        <v>-12842</v>
      </c>
      <c r="E22" s="1">
        <v>-15471</v>
      </c>
      <c r="F22" s="1">
        <v>-14796</v>
      </c>
      <c r="G22" s="1">
        <v>-17273.689999999999</v>
      </c>
      <c r="H22" s="1">
        <v>-15782.23</v>
      </c>
      <c r="I22" s="1">
        <v>-22008</v>
      </c>
      <c r="J22" s="1">
        <v>-15605.16</v>
      </c>
      <c r="K22" s="1"/>
      <c r="L22" s="1"/>
      <c r="M22" s="1"/>
      <c r="N22" s="1"/>
      <c r="O22" s="1">
        <f t="shared" si="8"/>
        <v>-126669.08</v>
      </c>
      <c r="P22" s="1">
        <v>-182100</v>
      </c>
      <c r="Q22" s="26">
        <f t="shared" si="9"/>
        <v>0.69560175727622187</v>
      </c>
    </row>
    <row r="23" spans="1:17" x14ac:dyDescent="0.25">
      <c r="A23" s="3" t="s">
        <v>15</v>
      </c>
      <c r="B23" s="1">
        <v>-213108</v>
      </c>
      <c r="C23" s="1">
        <v>-19708</v>
      </c>
      <c r="D23" s="1">
        <v>-19708</v>
      </c>
      <c r="E23" s="1">
        <v>-19708</v>
      </c>
      <c r="F23" s="1">
        <v>-19708</v>
      </c>
      <c r="G23" s="1">
        <v>-19708.330000000002</v>
      </c>
      <c r="H23" s="1">
        <v>-19708.330000000002</v>
      </c>
      <c r="I23" s="1">
        <v>-19708.330000000002</v>
      </c>
      <c r="J23" s="1">
        <v>-19708.330000000002</v>
      </c>
      <c r="K23" s="1"/>
      <c r="L23" s="1"/>
      <c r="M23" s="1"/>
      <c r="N23" s="1"/>
      <c r="O23" s="1">
        <f t="shared" si="8"/>
        <v>-157665.32</v>
      </c>
      <c r="P23" s="1">
        <v>-236500</v>
      </c>
      <c r="Q23" s="26">
        <f t="shared" si="9"/>
        <v>0.66666097251585632</v>
      </c>
    </row>
    <row r="24" spans="1:17" x14ac:dyDescent="0.25">
      <c r="A24" s="3" t="s">
        <v>16</v>
      </c>
      <c r="B24" s="1">
        <v>-227572</v>
      </c>
      <c r="C24" s="1">
        <v>-20342</v>
      </c>
      <c r="D24" s="1">
        <v>-20418</v>
      </c>
      <c r="E24" s="1">
        <v>-18065</v>
      </c>
      <c r="F24" s="1">
        <v>-67730</v>
      </c>
      <c r="G24" s="1">
        <v>-16522.54</v>
      </c>
      <c r="H24" s="1">
        <v>-39199.659999999996</v>
      </c>
      <c r="I24" s="1">
        <v>-19408.18</v>
      </c>
      <c r="J24" s="1">
        <v>-16904.86</v>
      </c>
      <c r="K24" s="1"/>
      <c r="L24" s="1"/>
      <c r="M24" s="1"/>
      <c r="N24" s="1"/>
      <c r="O24" s="1">
        <f t="shared" si="8"/>
        <v>-218590.24</v>
      </c>
      <c r="P24" s="1">
        <v>-224823</v>
      </c>
      <c r="Q24" s="26">
        <f t="shared" si="9"/>
        <v>0.97227703571253832</v>
      </c>
    </row>
    <row r="25" spans="1:17" x14ac:dyDescent="0.25">
      <c r="A25" s="3" t="s">
        <v>17</v>
      </c>
      <c r="B25" s="1">
        <v>-111998</v>
      </c>
      <c r="C25" s="1">
        <v>-4852</v>
      </c>
      <c r="D25" s="1">
        <v>-14026</v>
      </c>
      <c r="E25" s="1">
        <v>-11201</v>
      </c>
      <c r="F25" s="1">
        <v>-15104</v>
      </c>
      <c r="G25" s="1">
        <v>-7356.83</v>
      </c>
      <c r="H25" s="1">
        <v>-15435.669999999998</v>
      </c>
      <c r="I25" s="1">
        <v>-10335.530000000001</v>
      </c>
      <c r="J25" s="1">
        <v>-7331.58</v>
      </c>
      <c r="K25" s="1"/>
      <c r="L25" s="1"/>
      <c r="M25" s="1"/>
      <c r="N25" s="1"/>
      <c r="O25" s="1">
        <f t="shared" si="8"/>
        <v>-85642.61</v>
      </c>
      <c r="P25" s="1">
        <v>-148301</v>
      </c>
      <c r="Q25" s="26">
        <f t="shared" si="9"/>
        <v>0.57749179034531128</v>
      </c>
    </row>
    <row r="26" spans="1:17" ht="15.75" thickBot="1" x14ac:dyDescent="0.3">
      <c r="A26" s="4" t="s">
        <v>18</v>
      </c>
      <c r="B26" s="5">
        <f t="shared" ref="B26" si="10">SUM(B17:B25)</f>
        <v>-2341478</v>
      </c>
      <c r="C26" s="5">
        <f t="shared" ref="C26:J26" si="11">SUM(C17:C25)</f>
        <v>-198609</v>
      </c>
      <c r="D26" s="5">
        <f t="shared" si="11"/>
        <v>-197989</v>
      </c>
      <c r="E26" s="5">
        <f t="shared" si="11"/>
        <v>-178809</v>
      </c>
      <c r="F26" s="5">
        <f t="shared" si="11"/>
        <v>-251578</v>
      </c>
      <c r="G26" s="5">
        <f t="shared" si="11"/>
        <v>-177526.93</v>
      </c>
      <c r="H26" s="5">
        <f t="shared" si="11"/>
        <v>-227822.34000000003</v>
      </c>
      <c r="I26" s="5">
        <f t="shared" si="11"/>
        <v>-230063.06999999998</v>
      </c>
      <c r="J26" s="5">
        <f t="shared" si="11"/>
        <v>-205146.43999999997</v>
      </c>
      <c r="K26" s="5"/>
      <c r="L26" s="5"/>
      <c r="M26" s="5"/>
      <c r="N26" s="5"/>
      <c r="O26" s="5">
        <f>SUM(O17:O25)</f>
        <v>-1667543.7800000003</v>
      </c>
      <c r="P26" s="5">
        <f t="shared" ref="P26" si="12">SUM(P17:P25)</f>
        <v>-2422506</v>
      </c>
      <c r="Q26" s="25">
        <f>O26/P26</f>
        <v>0.68835486062779627</v>
      </c>
    </row>
    <row r="27" spans="1:17" ht="15.75" thickTop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1" t="s">
        <v>19</v>
      </c>
      <c r="B28" s="1">
        <v>215949</v>
      </c>
      <c r="C28" s="1">
        <v>18293</v>
      </c>
      <c r="D28" s="1">
        <v>18343</v>
      </c>
      <c r="E28" s="1">
        <v>18248</v>
      </c>
      <c r="F28" s="1">
        <v>18467</v>
      </c>
      <c r="G28" s="1">
        <v>18467</v>
      </c>
      <c r="H28" s="1">
        <v>18466.580000000002</v>
      </c>
      <c r="I28" s="1">
        <v>18280.66</v>
      </c>
      <c r="J28" s="1">
        <v>18280.66</v>
      </c>
      <c r="K28" s="1"/>
      <c r="L28" s="1"/>
      <c r="M28" s="1"/>
      <c r="N28" s="1"/>
      <c r="O28" s="1">
        <f>SUM(C28:N28)</f>
        <v>146845.9</v>
      </c>
      <c r="P28" s="1">
        <v>217379</v>
      </c>
      <c r="Q28" s="26">
        <f>O28/P28</f>
        <v>0.67552937496262289</v>
      </c>
    </row>
    <row r="29" spans="1:17" x14ac:dyDescent="0.25">
      <c r="A29" s="7" t="s">
        <v>20</v>
      </c>
      <c r="B29" s="8">
        <f>B26+B28</f>
        <v>-2125529</v>
      </c>
      <c r="C29" s="8">
        <f>C26+C28</f>
        <v>-180316</v>
      </c>
      <c r="D29" s="8">
        <f t="shared" ref="D29:O29" si="13">D26+D28</f>
        <v>-179646</v>
      </c>
      <c r="E29" s="8">
        <f t="shared" si="13"/>
        <v>-160561</v>
      </c>
      <c r="F29" s="8">
        <f t="shared" ref="F29:G29" si="14">F26+F28</f>
        <v>-233111</v>
      </c>
      <c r="G29" s="8">
        <f t="shared" si="14"/>
        <v>-159059.93</v>
      </c>
      <c r="H29" s="8">
        <f t="shared" ref="H29:J29" si="15">H26+H28</f>
        <v>-209355.76</v>
      </c>
      <c r="I29" s="8">
        <f t="shared" si="15"/>
        <v>-211782.40999999997</v>
      </c>
      <c r="J29" s="8">
        <f t="shared" si="15"/>
        <v>-186865.77999999997</v>
      </c>
      <c r="K29" s="8"/>
      <c r="L29" s="8"/>
      <c r="M29" s="8"/>
      <c r="N29" s="8"/>
      <c r="O29" s="8">
        <f t="shared" si="13"/>
        <v>-1520697.8800000004</v>
      </c>
      <c r="P29" s="8">
        <f t="shared" ref="P29" si="16">P26+P28</f>
        <v>-2205127</v>
      </c>
      <c r="Q29" s="27">
        <f>O29/P29</f>
        <v>0.68961918293141411</v>
      </c>
    </row>
    <row r="30" spans="1:17" ht="15.75" thickBot="1" x14ac:dyDescent="0.3">
      <c r="A30" s="4" t="s">
        <v>21</v>
      </c>
      <c r="B30" s="5">
        <f>B14+B29</f>
        <v>20775</v>
      </c>
      <c r="C30" s="5">
        <f>C14+C29</f>
        <v>-11802</v>
      </c>
      <c r="D30" s="5">
        <f t="shared" ref="D30:O30" si="17">D14+D29</f>
        <v>-3004</v>
      </c>
      <c r="E30" s="5">
        <f t="shared" si="17"/>
        <v>10158</v>
      </c>
      <c r="F30" s="5">
        <f t="shared" ref="F30:G30" si="18">F14+F29</f>
        <v>-75057</v>
      </c>
      <c r="G30" s="5">
        <f t="shared" si="18"/>
        <v>-12551.739999999962</v>
      </c>
      <c r="H30" s="5">
        <f t="shared" ref="H30:J30" si="19">H14+H29</f>
        <v>96894.379999999946</v>
      </c>
      <c r="I30" s="5">
        <f t="shared" si="19"/>
        <v>26614.270000000019</v>
      </c>
      <c r="J30" s="5">
        <f t="shared" si="19"/>
        <v>11180.20000000007</v>
      </c>
      <c r="K30" s="5"/>
      <c r="L30" s="5"/>
      <c r="M30" s="5"/>
      <c r="N30" s="5"/>
      <c r="O30" s="5">
        <f t="shared" si="17"/>
        <v>42432.109999999637</v>
      </c>
      <c r="P30" s="5">
        <f t="shared" ref="P30" si="20">P14+P29</f>
        <v>-627</v>
      </c>
      <c r="Q30" s="25"/>
    </row>
    <row r="31" spans="1:17" ht="15.75" thickTop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ht="24" x14ac:dyDescent="0.4">
      <c r="A32" s="19" t="s">
        <v>22</v>
      </c>
      <c r="B32" s="33">
        <v>45838</v>
      </c>
      <c r="C32" s="34">
        <v>45869</v>
      </c>
      <c r="D32" s="34">
        <v>45900</v>
      </c>
      <c r="E32" s="34">
        <v>45930</v>
      </c>
      <c r="F32" s="34">
        <v>45961</v>
      </c>
      <c r="G32" s="34">
        <v>45991</v>
      </c>
      <c r="H32" s="34">
        <v>46022</v>
      </c>
      <c r="I32" s="34">
        <v>46053</v>
      </c>
      <c r="J32" s="34">
        <v>46081</v>
      </c>
      <c r="K32" s="34">
        <v>46112</v>
      </c>
      <c r="L32" s="34">
        <v>46142</v>
      </c>
      <c r="M32" s="34">
        <v>46173</v>
      </c>
      <c r="N32" s="34">
        <v>46203</v>
      </c>
      <c r="O32" s="21"/>
    </row>
    <row r="33" spans="1:16" x14ac:dyDescent="0.25">
      <c r="A33" s="9" t="s">
        <v>23</v>
      </c>
      <c r="B33" s="10">
        <v>512889</v>
      </c>
      <c r="C33" s="10">
        <v>497504</v>
      </c>
      <c r="D33" s="10">
        <v>498300</v>
      </c>
      <c r="E33" s="10">
        <v>500927.98</v>
      </c>
      <c r="F33" s="10">
        <v>449011.54</v>
      </c>
      <c r="G33" s="10">
        <v>438406.99</v>
      </c>
      <c r="H33" s="10">
        <v>502291.18</v>
      </c>
      <c r="I33" s="10">
        <v>538998.14</v>
      </c>
      <c r="J33" s="10">
        <v>516381.74</v>
      </c>
      <c r="K33" s="10"/>
      <c r="L33" s="10"/>
      <c r="M33" s="10"/>
      <c r="N33" s="10"/>
      <c r="O33" s="10"/>
      <c r="P33" s="10"/>
    </row>
    <row r="34" spans="1:16" x14ac:dyDescent="0.25">
      <c r="A34" s="9" t="s">
        <v>24</v>
      </c>
      <c r="B34" s="10">
        <v>292734</v>
      </c>
      <c r="C34" s="10">
        <v>293565</v>
      </c>
      <c r="D34" s="10">
        <v>294064.69</v>
      </c>
      <c r="E34" s="10">
        <v>314402.21000000002</v>
      </c>
      <c r="F34" s="10">
        <v>267601.3</v>
      </c>
      <c r="G34" s="10">
        <v>251792.1</v>
      </c>
      <c r="H34" s="10">
        <f>177087.74+5133.59</f>
        <v>182221.33</v>
      </c>
      <c r="I34" s="10">
        <v>178639.33</v>
      </c>
      <c r="J34" s="10">
        <f>156692.27+33563.31</f>
        <v>190255.58</v>
      </c>
      <c r="K34" s="10"/>
      <c r="L34" s="10"/>
      <c r="M34" s="10"/>
      <c r="N34" s="10"/>
      <c r="O34" s="10"/>
      <c r="P34" s="10"/>
    </row>
    <row r="35" spans="1:16" x14ac:dyDescent="0.25">
      <c r="A35" s="9" t="s">
        <v>25</v>
      </c>
      <c r="B35" s="10">
        <v>216760</v>
      </c>
      <c r="C35" s="10">
        <v>213514.55</v>
      </c>
      <c r="D35" s="10">
        <v>215825.28</v>
      </c>
      <c r="E35" s="10">
        <v>215472.24</v>
      </c>
      <c r="F35" s="10">
        <v>218952</v>
      </c>
      <c r="G35" s="10">
        <v>220679.12</v>
      </c>
      <c r="H35" s="10">
        <v>214988.7</v>
      </c>
      <c r="I35" s="10">
        <v>218505.93</v>
      </c>
      <c r="J35" s="10">
        <v>218143.5</v>
      </c>
      <c r="K35" s="10"/>
      <c r="L35" s="10"/>
      <c r="M35" s="10"/>
      <c r="N35" s="10"/>
      <c r="O35" s="10"/>
      <c r="P35" s="10"/>
    </row>
    <row r="36" spans="1:16" x14ac:dyDescent="0.25">
      <c r="A36" s="9" t="s">
        <v>26</v>
      </c>
      <c r="B36" s="10">
        <v>964795.45</v>
      </c>
      <c r="C36" s="10">
        <v>963977.87</v>
      </c>
      <c r="D36" s="10">
        <v>982620.9</v>
      </c>
      <c r="E36" s="10">
        <v>992042.91</v>
      </c>
      <c r="F36" s="10">
        <f>953620.96+38784.33</f>
        <v>992405.28999999992</v>
      </c>
      <c r="G36" s="10">
        <f>961954.31+38908.25</f>
        <v>1000862.56</v>
      </c>
      <c r="H36" s="10">
        <v>1001624.17</v>
      </c>
      <c r="I36" s="10">
        <f>986954.54+39116.51</f>
        <v>1026071.05</v>
      </c>
      <c r="J36" s="10">
        <f>1000342.61+39217.99</f>
        <v>1039560.6</v>
      </c>
      <c r="K36" s="10"/>
      <c r="L36" s="10"/>
      <c r="M36" s="10"/>
      <c r="N36" s="10"/>
      <c r="O36" s="10"/>
      <c r="P36" s="10"/>
    </row>
    <row r="37" spans="1:16" ht="15.75" thickBot="1" x14ac:dyDescent="0.3">
      <c r="A37" s="4" t="s">
        <v>27</v>
      </c>
      <c r="B37" s="5">
        <f>SUM(B33:B36)</f>
        <v>1987178.45</v>
      </c>
      <c r="C37" s="5">
        <f>SUM(C33:C36)</f>
        <v>1968561.42</v>
      </c>
      <c r="D37" s="5">
        <f t="shared" ref="D37:F37" si="21">SUM(D33:D36)</f>
        <v>1990810.87</v>
      </c>
      <c r="E37" s="5">
        <f t="shared" si="21"/>
        <v>2022845.3399999999</v>
      </c>
      <c r="F37" s="5">
        <f t="shared" si="21"/>
        <v>1927970.13</v>
      </c>
      <c r="G37" s="5">
        <f>SUM(G33:G36)</f>
        <v>1911740.77</v>
      </c>
      <c r="H37" s="5">
        <f>SUM(H33:H36)</f>
        <v>1901125.38</v>
      </c>
      <c r="I37" s="5">
        <f>SUM(I33:I36)</f>
        <v>1962214.45</v>
      </c>
      <c r="J37" s="5">
        <f>SUM(J33:J36)</f>
        <v>1964341.42</v>
      </c>
      <c r="K37" s="5"/>
      <c r="L37" s="5"/>
      <c r="M37" s="5"/>
      <c r="N37" s="5"/>
      <c r="O37" s="4"/>
    </row>
    <row r="38" spans="1:16" ht="15.75" thickTop="1" x14ac:dyDescent="0.25"/>
    <row r="40" spans="1:16" ht="24" x14ac:dyDescent="0.4">
      <c r="A40" s="19" t="s">
        <v>28</v>
      </c>
      <c r="B40" s="34">
        <v>45838</v>
      </c>
      <c r="C40" s="34">
        <v>45869</v>
      </c>
      <c r="D40" s="34">
        <v>45900</v>
      </c>
      <c r="E40" s="34">
        <v>45930</v>
      </c>
      <c r="F40" s="34">
        <v>45961</v>
      </c>
      <c r="G40" s="34">
        <v>45991</v>
      </c>
      <c r="H40" s="34">
        <v>46022</v>
      </c>
      <c r="I40" s="34">
        <v>46053</v>
      </c>
      <c r="J40" s="34">
        <v>46081</v>
      </c>
      <c r="K40" s="34">
        <v>46112</v>
      </c>
      <c r="L40" s="34">
        <v>46142</v>
      </c>
      <c r="M40" s="34">
        <v>46173</v>
      </c>
      <c r="N40" s="34">
        <v>46203</v>
      </c>
    </row>
    <row r="41" spans="1:16" x14ac:dyDescent="0.25">
      <c r="A41" s="2" t="s">
        <v>30</v>
      </c>
      <c r="B41" s="2"/>
      <c r="C41" s="22"/>
    </row>
    <row r="42" spans="1:16" x14ac:dyDescent="0.25">
      <c r="A42" s="2" t="s">
        <v>31</v>
      </c>
      <c r="B42" s="10">
        <v>499315</v>
      </c>
      <c r="C42" s="10">
        <f t="shared" ref="C42:E44" si="22">B60</f>
        <v>512889</v>
      </c>
      <c r="D42" s="10">
        <f t="shared" si="22"/>
        <v>497504.3</v>
      </c>
      <c r="E42" s="10">
        <f t="shared" si="22"/>
        <v>498300.06</v>
      </c>
      <c r="F42" s="10">
        <v>500928</v>
      </c>
      <c r="G42" s="10">
        <v>449012</v>
      </c>
      <c r="H42" s="10">
        <v>438406.99</v>
      </c>
      <c r="I42" s="10">
        <v>502291.18</v>
      </c>
      <c r="J42" s="10">
        <v>538998</v>
      </c>
    </row>
    <row r="43" spans="1:16" x14ac:dyDescent="0.25">
      <c r="A43" s="2" t="s">
        <v>32</v>
      </c>
      <c r="B43" s="10">
        <v>293036</v>
      </c>
      <c r="C43" s="10">
        <f t="shared" si="22"/>
        <v>292734</v>
      </c>
      <c r="D43" s="10">
        <f t="shared" si="22"/>
        <v>293120.64000000001</v>
      </c>
      <c r="E43" s="10">
        <f t="shared" si="22"/>
        <v>293507.65999999997</v>
      </c>
      <c r="F43" s="10">
        <v>313733</v>
      </c>
      <c r="G43" s="10">
        <v>265389</v>
      </c>
      <c r="H43" s="10">
        <v>246787.05</v>
      </c>
      <c r="I43" s="10">
        <v>177087.74</v>
      </c>
      <c r="J43" s="10">
        <v>162306.85</v>
      </c>
    </row>
    <row r="44" spans="1:16" x14ac:dyDescent="0.25">
      <c r="A44" s="2" t="s">
        <v>33</v>
      </c>
      <c r="B44" s="10">
        <v>76</v>
      </c>
      <c r="C44" s="10">
        <f t="shared" si="22"/>
        <v>76</v>
      </c>
      <c r="D44" s="10">
        <f t="shared" si="22"/>
        <v>444.53</v>
      </c>
      <c r="E44" s="10">
        <f t="shared" si="22"/>
        <v>557.03</v>
      </c>
      <c r="F44" s="10">
        <v>670</v>
      </c>
      <c r="G44" s="10">
        <v>2212</v>
      </c>
      <c r="H44" s="10">
        <v>5005.05</v>
      </c>
      <c r="I44" s="10">
        <v>5133.59</v>
      </c>
      <c r="J44" s="10">
        <v>16332.48</v>
      </c>
    </row>
    <row r="45" spans="1:16" x14ac:dyDescent="0.25">
      <c r="A45" s="2" t="s">
        <v>34</v>
      </c>
      <c r="B45" s="28">
        <f>SUM(B42:B44)</f>
        <v>792427</v>
      </c>
      <c r="C45" s="28">
        <f>SUM(C42:C44)</f>
        <v>805699</v>
      </c>
      <c r="D45" s="28">
        <f>SUM(D42:D44)</f>
        <v>791069.47</v>
      </c>
      <c r="E45" s="28">
        <f>SUM(E42:E44)</f>
        <v>792364.75</v>
      </c>
      <c r="F45" s="28">
        <f t="shared" ref="F45:N45" si="23">SUM(F42:F44)</f>
        <v>815331</v>
      </c>
      <c r="G45" s="28">
        <f t="shared" si="23"/>
        <v>716613</v>
      </c>
      <c r="H45" s="28">
        <f t="shared" si="23"/>
        <v>690199.09000000008</v>
      </c>
      <c r="I45" s="28">
        <f t="shared" si="23"/>
        <v>684512.50999999989</v>
      </c>
      <c r="J45" s="28">
        <f t="shared" si="23"/>
        <v>717637.33</v>
      </c>
      <c r="K45" s="12">
        <f t="shared" si="23"/>
        <v>0</v>
      </c>
      <c r="L45" s="12">
        <f t="shared" si="23"/>
        <v>0</v>
      </c>
      <c r="M45" s="12">
        <f t="shared" si="23"/>
        <v>0</v>
      </c>
      <c r="N45" s="12">
        <f t="shared" si="23"/>
        <v>0</v>
      </c>
    </row>
    <row r="46" spans="1:16" x14ac:dyDescent="0.25">
      <c r="B46" s="10"/>
      <c r="C46" s="10"/>
      <c r="D46" s="10"/>
      <c r="E46" s="10"/>
      <c r="F46" s="10"/>
      <c r="G46" s="10"/>
      <c r="H46" s="10"/>
    </row>
    <row r="47" spans="1:16" x14ac:dyDescent="0.25">
      <c r="A47" s="18" t="s">
        <v>35</v>
      </c>
      <c r="B47" s="10"/>
      <c r="C47" s="10"/>
      <c r="D47" s="10"/>
      <c r="E47" s="10"/>
      <c r="F47" s="10"/>
      <c r="G47" s="10"/>
      <c r="H47" s="10"/>
    </row>
    <row r="48" spans="1:16" x14ac:dyDescent="0.25">
      <c r="A48" s="2" t="s">
        <v>36</v>
      </c>
      <c r="B48" s="10">
        <v>20775</v>
      </c>
      <c r="C48" s="10">
        <v>-11803</v>
      </c>
      <c r="D48" s="10">
        <v>-3004</v>
      </c>
      <c r="E48" s="10">
        <v>10157</v>
      </c>
      <c r="F48" s="10">
        <v>-75057</v>
      </c>
      <c r="G48" s="10">
        <v>-12552</v>
      </c>
      <c r="H48" s="10">
        <v>96894</v>
      </c>
      <c r="I48" s="35">
        <v>26614.27</v>
      </c>
      <c r="J48" s="35">
        <v>11180</v>
      </c>
    </row>
    <row r="49" spans="1:14" x14ac:dyDescent="0.25">
      <c r="A49" s="2" t="s">
        <v>37</v>
      </c>
      <c r="B49" s="10">
        <v>40350</v>
      </c>
      <c r="C49" s="10">
        <v>3986</v>
      </c>
      <c r="D49" s="10">
        <v>-20954</v>
      </c>
      <c r="E49" s="10">
        <v>-9068.9699999999993</v>
      </c>
      <c r="F49" s="10">
        <v>-3842.48</v>
      </c>
      <c r="G49" s="10">
        <v>-10184.049999999999</v>
      </c>
      <c r="H49" s="10">
        <v>4928.8100000000004</v>
      </c>
      <c r="I49" s="35">
        <v>-27964.11</v>
      </c>
      <c r="J49" s="35">
        <v>-13127.12</v>
      </c>
    </row>
    <row r="50" spans="1:14" x14ac:dyDescent="0.25">
      <c r="A50" s="2" t="s">
        <v>38</v>
      </c>
      <c r="B50" s="10">
        <v>152</v>
      </c>
      <c r="C50" s="10">
        <v>-300</v>
      </c>
      <c r="D50" s="10">
        <v>495</v>
      </c>
      <c r="E50" s="10">
        <v>-213.55</v>
      </c>
      <c r="F50" s="10">
        <v>-158.6</v>
      </c>
      <c r="G50" s="10">
        <v>590.87</v>
      </c>
      <c r="H50" s="10">
        <v>-300</v>
      </c>
      <c r="I50" s="35">
        <v>595</v>
      </c>
      <c r="J50" s="35">
        <v>-159.84</v>
      </c>
    </row>
    <row r="51" spans="1:14" x14ac:dyDescent="0.25">
      <c r="A51" s="2" t="s">
        <v>39</v>
      </c>
      <c r="B51" s="10">
        <v>-264450</v>
      </c>
      <c r="C51" s="10">
        <v>-3038.34</v>
      </c>
      <c r="D51" s="10">
        <v>-4138.75</v>
      </c>
      <c r="E51" s="10">
        <v>-1929.16</v>
      </c>
      <c r="F51" s="10">
        <v>-3488.13</v>
      </c>
      <c r="G51" s="10">
        <v>-19135</v>
      </c>
      <c r="H51" s="10">
        <v>-71120.570000000007</v>
      </c>
      <c r="I51" s="35">
        <v>-20180</v>
      </c>
      <c r="J51" s="35">
        <v>-6015.54</v>
      </c>
    </row>
    <row r="52" spans="1:14" x14ac:dyDescent="0.25">
      <c r="A52" s="2" t="s">
        <v>40</v>
      </c>
      <c r="B52" s="10">
        <v>22867</v>
      </c>
      <c r="C52" s="10">
        <v>-11929</v>
      </c>
      <c r="D52" s="10">
        <v>-9105.98</v>
      </c>
      <c r="E52" s="10">
        <v>1308.3699999999999</v>
      </c>
      <c r="F52" s="10">
        <v>-3807.49</v>
      </c>
      <c r="G52" s="10">
        <v>-6714.85</v>
      </c>
      <c r="H52" s="10">
        <f>-4017.91-220.98</f>
        <v>-4238.8899999999994</v>
      </c>
      <c r="I52" s="35">
        <f>4818.91+1230.31</f>
        <v>6049.2199999999993</v>
      </c>
      <c r="J52" s="35">
        <v>270.11</v>
      </c>
    </row>
    <row r="53" spans="1:14" x14ac:dyDescent="0.25">
      <c r="A53" s="2" t="s">
        <v>41</v>
      </c>
      <c r="B53" s="10">
        <v>-16454</v>
      </c>
      <c r="C53" s="10">
        <v>2500</v>
      </c>
      <c r="D53" s="10">
        <v>0</v>
      </c>
      <c r="E53" s="10">
        <v>0</v>
      </c>
      <c r="F53" s="10">
        <v>682</v>
      </c>
      <c r="G53" s="10">
        <v>0</v>
      </c>
      <c r="H53" s="10">
        <v>160</v>
      </c>
      <c r="I53" s="35">
        <v>40</v>
      </c>
      <c r="J53" s="35">
        <v>0</v>
      </c>
    </row>
    <row r="54" spans="1:14" x14ac:dyDescent="0.25">
      <c r="A54" s="2" t="s">
        <v>42</v>
      </c>
      <c r="B54" s="10">
        <v>10050</v>
      </c>
      <c r="C54" s="10">
        <v>4433.1499999999996</v>
      </c>
      <c r="D54" s="10">
        <v>-482</v>
      </c>
      <c r="E54" s="10">
        <v>13289.85</v>
      </c>
      <c r="F54" s="10">
        <v>-13410.13</v>
      </c>
      <c r="G54" s="10">
        <v>5153.24</v>
      </c>
      <c r="H54" s="10">
        <v>-32771.919999999998</v>
      </c>
      <c r="I54" s="35">
        <v>23524.18</v>
      </c>
      <c r="J54" s="35">
        <v>-16637.509999999998</v>
      </c>
    </row>
    <row r="55" spans="1:14" x14ac:dyDescent="0.25">
      <c r="A55" s="2" t="s">
        <v>43</v>
      </c>
      <c r="B55" s="10">
        <v>99077</v>
      </c>
      <c r="C55" s="10">
        <v>1522</v>
      </c>
      <c r="D55" s="10">
        <f>19198.55-555.52</f>
        <v>18643.03</v>
      </c>
      <c r="E55" s="10">
        <v>9422</v>
      </c>
      <c r="F55" s="10">
        <v>362.38</v>
      </c>
      <c r="G55" s="10">
        <v>8457.27</v>
      </c>
      <c r="H55" s="10">
        <v>761.61</v>
      </c>
      <c r="I55" s="35">
        <v>24446.880000000001</v>
      </c>
      <c r="J55" s="35">
        <v>13489.55</v>
      </c>
    </row>
    <row r="56" spans="1:14" x14ac:dyDescent="0.25">
      <c r="A56" s="2" t="s">
        <v>44</v>
      </c>
      <c r="B56" s="10">
        <v>100905</v>
      </c>
      <c r="C56" s="10">
        <v>0</v>
      </c>
      <c r="D56" s="10">
        <v>19842.25</v>
      </c>
      <c r="E56" s="10">
        <v>0</v>
      </c>
      <c r="F56" s="10">
        <v>0</v>
      </c>
      <c r="G56" s="10">
        <v>7971</v>
      </c>
      <c r="H56" s="10">
        <v>0</v>
      </c>
      <c r="I56" s="10">
        <v>0</v>
      </c>
    </row>
    <row r="57" spans="1:14" ht="15.75" thickBot="1" x14ac:dyDescent="0.3">
      <c r="A57" s="2" t="s">
        <v>29</v>
      </c>
      <c r="B57" s="29">
        <f>B45+B48+SUM(B49:B56)</f>
        <v>805699</v>
      </c>
      <c r="C57" s="29">
        <f t="shared" ref="C57:N57" si="24">+C45+SUM(C48:C56)</f>
        <v>791069.81</v>
      </c>
      <c r="D57" s="29">
        <f t="shared" si="24"/>
        <v>792365.02</v>
      </c>
      <c r="E57" s="29">
        <f t="shared" si="24"/>
        <v>815330.29</v>
      </c>
      <c r="F57" s="29">
        <f t="shared" si="24"/>
        <v>716611.55</v>
      </c>
      <c r="G57" s="29">
        <f t="shared" si="24"/>
        <v>690199.48</v>
      </c>
      <c r="H57" s="29">
        <f t="shared" si="24"/>
        <v>684512.13000000012</v>
      </c>
      <c r="I57" s="29">
        <f t="shared" si="24"/>
        <v>717637.95</v>
      </c>
      <c r="J57" s="14">
        <f t="shared" si="24"/>
        <v>706636.98</v>
      </c>
      <c r="K57" s="14">
        <f t="shared" si="24"/>
        <v>0</v>
      </c>
      <c r="L57" s="14">
        <f t="shared" si="24"/>
        <v>0</v>
      </c>
      <c r="M57" s="14">
        <f t="shared" si="24"/>
        <v>0</v>
      </c>
      <c r="N57" s="14">
        <f t="shared" si="24"/>
        <v>0</v>
      </c>
    </row>
    <row r="58" spans="1:14" ht="15.75" thickTop="1" x14ac:dyDescent="0.25">
      <c r="A58" s="2"/>
      <c r="B58" s="10"/>
      <c r="C58" s="10"/>
      <c r="D58" s="10"/>
      <c r="E58" s="10"/>
      <c r="F58" s="10"/>
      <c r="G58" s="10"/>
    </row>
    <row r="59" spans="1:14" x14ac:dyDescent="0.25">
      <c r="A59" s="18" t="s">
        <v>45</v>
      </c>
      <c r="B59" s="10"/>
      <c r="C59" s="10"/>
      <c r="D59" s="10"/>
      <c r="E59" s="10"/>
      <c r="F59" s="10"/>
      <c r="G59" s="10"/>
    </row>
    <row r="60" spans="1:14" x14ac:dyDescent="0.25">
      <c r="A60" s="2" t="s">
        <v>46</v>
      </c>
      <c r="B60" s="10">
        <v>512889</v>
      </c>
      <c r="C60" s="10">
        <v>497504.3</v>
      </c>
      <c r="D60" s="10">
        <v>498300.06</v>
      </c>
      <c r="E60" s="10">
        <v>500927.98</v>
      </c>
      <c r="F60" s="10">
        <v>449011.54</v>
      </c>
      <c r="G60" s="10">
        <v>438406.99</v>
      </c>
      <c r="H60" s="10">
        <v>502291.18</v>
      </c>
      <c r="I60" s="10">
        <v>538998</v>
      </c>
      <c r="J60" s="10">
        <v>516381.74</v>
      </c>
    </row>
    <row r="61" spans="1:14" x14ac:dyDescent="0.25">
      <c r="A61" s="2" t="s">
        <v>32</v>
      </c>
      <c r="B61" s="10">
        <v>292734</v>
      </c>
      <c r="C61" s="10">
        <v>293120.64000000001</v>
      </c>
      <c r="D61" s="10">
        <v>293507.65999999997</v>
      </c>
      <c r="E61" s="10">
        <v>313732.68</v>
      </c>
      <c r="F61" s="10">
        <v>265389.26</v>
      </c>
      <c r="G61" s="10">
        <v>246787.05</v>
      </c>
      <c r="H61" s="10">
        <v>177087.74</v>
      </c>
      <c r="I61" s="10">
        <v>162306.85</v>
      </c>
      <c r="J61" s="10">
        <v>156692.26999999999</v>
      </c>
    </row>
    <row r="62" spans="1:14" x14ac:dyDescent="0.25">
      <c r="A62" s="2" t="s">
        <v>33</v>
      </c>
      <c r="B62" s="10">
        <v>76</v>
      </c>
      <c r="C62" s="10">
        <v>444.53</v>
      </c>
      <c r="D62" s="10">
        <v>557.03</v>
      </c>
      <c r="E62" s="10">
        <v>669.53</v>
      </c>
      <c r="F62" s="10">
        <v>2212.04</v>
      </c>
      <c r="G62" s="10">
        <v>5005.05</v>
      </c>
      <c r="H62" s="10">
        <v>5133.59</v>
      </c>
      <c r="I62" s="10">
        <v>16332.48</v>
      </c>
      <c r="J62" s="10">
        <v>33563.31</v>
      </c>
    </row>
    <row r="63" spans="1:14" ht="15.75" thickBot="1" x14ac:dyDescent="0.3">
      <c r="A63" s="2" t="s">
        <v>47</v>
      </c>
      <c r="B63" s="29">
        <f>SUM(B60:B62)</f>
        <v>805699</v>
      </c>
      <c r="C63" s="29">
        <f>SUM(C60:C62)</f>
        <v>791069.47</v>
      </c>
      <c r="D63" s="29">
        <f>SUM(D60:D62)</f>
        <v>792364.75</v>
      </c>
      <c r="E63" s="29">
        <f>SUM(E60:E62)</f>
        <v>815330.19</v>
      </c>
      <c r="F63" s="29">
        <f t="shared" ref="F63:N63" si="25">SUM(F60:F62)</f>
        <v>716612.84000000008</v>
      </c>
      <c r="G63" s="29">
        <f t="shared" si="25"/>
        <v>690199.09000000008</v>
      </c>
      <c r="H63" s="29">
        <f t="shared" si="25"/>
        <v>684512.50999999989</v>
      </c>
      <c r="I63" s="29">
        <f t="shared" si="25"/>
        <v>717637.33</v>
      </c>
      <c r="J63" s="29">
        <f t="shared" si="25"/>
        <v>706637.32000000007</v>
      </c>
      <c r="K63" s="14">
        <f t="shared" si="25"/>
        <v>0</v>
      </c>
      <c r="L63" s="14">
        <f t="shared" si="25"/>
        <v>0</v>
      </c>
      <c r="M63" s="14">
        <f t="shared" si="25"/>
        <v>0</v>
      </c>
      <c r="N63" s="14">
        <f t="shared" si="25"/>
        <v>0</v>
      </c>
    </row>
    <row r="64" spans="1:14" ht="15.75" thickTop="1" x14ac:dyDescent="0.25">
      <c r="C64" s="22"/>
      <c r="D64" s="15"/>
      <c r="E64" s="9"/>
      <c r="F64" s="9"/>
      <c r="G64" s="9"/>
      <c r="H64" s="9"/>
    </row>
    <row r="65" spans="1:10" x14ac:dyDescent="0.25">
      <c r="A65" s="16" t="s">
        <v>48</v>
      </c>
      <c r="B65" s="17"/>
      <c r="C65" s="23">
        <f>ROUND(+C57-C63,0)</f>
        <v>0</v>
      </c>
      <c r="D65" s="13">
        <f t="shared" ref="D65:J65" si="26">+D57-D63</f>
        <v>0.27000000001862645</v>
      </c>
      <c r="E65" s="30">
        <f t="shared" si="26"/>
        <v>0.10000000009313226</v>
      </c>
      <c r="F65" s="30">
        <f t="shared" si="26"/>
        <v>-1.2900000000372529</v>
      </c>
      <c r="G65" s="30">
        <f t="shared" si="26"/>
        <v>0.38999999989755452</v>
      </c>
      <c r="H65" s="30">
        <f t="shared" si="26"/>
        <v>-0.37999999977182597</v>
      </c>
      <c r="I65" s="30">
        <f t="shared" si="26"/>
        <v>0.61999999999534339</v>
      </c>
      <c r="J65" s="30">
        <f t="shared" si="26"/>
        <v>-0.34000000008381903</v>
      </c>
    </row>
  </sheetData>
  <pageMargins left="0.7" right="0.7" top="0.75" bottom="0.75" header="0.3" footer="0.3"/>
  <pageSetup scale="88" fitToHeight="0" orientation="landscape" r:id="rId1"/>
  <rowBreaks count="1" manualBreakCount="1"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751c02-c46b-444d-b274-8e35b58b7ff4" xsi:nil="true"/>
    <lcf76f155ced4ddcb4097134ff3c332f xmlns="036d35a4-e131-48a3-abf9-32e44c64f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620C6354A554FAD3EC37A1AB4FAE8" ma:contentTypeVersion="12" ma:contentTypeDescription="Create a new document." ma:contentTypeScope="" ma:versionID="492d03b466570b06726ee6f08c862ba3">
  <xsd:schema xmlns:xsd="http://www.w3.org/2001/XMLSchema" xmlns:xs="http://www.w3.org/2001/XMLSchema" xmlns:p="http://schemas.microsoft.com/office/2006/metadata/properties" xmlns:ns2="036d35a4-e131-48a3-abf9-32e44c64fc9f" xmlns:ns3="43751c02-c46b-444d-b274-8e35b58b7ff4" targetNamespace="http://schemas.microsoft.com/office/2006/metadata/properties" ma:root="true" ma:fieldsID="38feb67111eb20b788293026e89690bf" ns2:_="" ns3:_="">
    <xsd:import namespace="036d35a4-e131-48a3-abf9-32e44c64fc9f"/>
    <xsd:import namespace="43751c02-c46b-444d-b274-8e35b58b7f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d35a4-e131-48a3-abf9-32e44c64f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b7c74c3-190c-4ef9-8f6d-0d06128fe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51c02-c46b-444d-b274-8e35b58b7f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0a2a482-8fe5-4989-baf6-1ec46f57cc12}" ma:internalName="TaxCatchAll" ma:showField="CatchAllData" ma:web="43751c02-c46b-444d-b274-8e35b58b7f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EFC2D-CADE-41F9-947E-B0F3EE560BE5}">
  <ds:schemaRefs>
    <ds:schemaRef ds:uri="http://schemas.microsoft.com/office/2006/metadata/properties"/>
    <ds:schemaRef ds:uri="http://schemas.microsoft.com/office/infopath/2007/PartnerControls"/>
    <ds:schemaRef ds:uri="43751c02-c46b-444d-b274-8e35b58b7ff4"/>
    <ds:schemaRef ds:uri="036d35a4-e131-48a3-abf9-32e44c64fc9f"/>
  </ds:schemaRefs>
</ds:datastoreItem>
</file>

<file path=customXml/itemProps2.xml><?xml version="1.0" encoding="utf-8"?>
<ds:datastoreItem xmlns:ds="http://schemas.openxmlformats.org/officeDocument/2006/customXml" ds:itemID="{9ECD6B44-CE90-4744-88DA-783E57CB3B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A82FF-58AF-4D88-9944-C11FACB19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d35a4-e131-48a3-abf9-32e44c64fc9f"/>
    <ds:schemaRef ds:uri="43751c02-c46b-444d-b274-8e35b58b7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Matthew Dougan</dc:creator>
  <cp:lastModifiedBy>K. Matthew Dougan</cp:lastModifiedBy>
  <cp:lastPrinted>2026-03-11T18:58:03Z</cp:lastPrinted>
  <dcterms:created xsi:type="dcterms:W3CDTF">2025-10-15T18:06:35Z</dcterms:created>
  <dcterms:modified xsi:type="dcterms:W3CDTF">2026-03-25T15:26:33Z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0x010100F96620C6354A554FAD3EC37A1AB4FAE8</vt:lpwstr>
  </property>
  <property fmtid="{D5CDD505-2E9C-101B-9397-08002B2CF9AE}" pid="3" name="MediaServiceImageTags">
    <vt:lpwstr/>
  </property>
</Properties>
</file>